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luetolf\Documents\IFZ Kurse\CAS Fundamentals\VBM 2020\Fallsltudie Jungfrau Verbier\"/>
    </mc:Choice>
  </mc:AlternateContent>
  <bookViews>
    <workbookView xWindow="0" yWindow="600" windowWidth="20490" windowHeight="6920"/>
  </bookViews>
  <sheets>
    <sheet name="Tabelle1" sheetId="1" r:id="rId1"/>
    <sheet name="Tabelle2" sheetId="2" r:id="rId2"/>
  </sheets>
  <definedNames>
    <definedName name="_xlnm.Print_Area" localSheetId="0">Tabelle1!$A$1:$G$45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E8" i="1"/>
  <c r="J19" i="1" l="1"/>
  <c r="E27" i="1"/>
  <c r="B27" i="1"/>
  <c r="B17" i="1"/>
  <c r="B6" i="1"/>
  <c r="B7" i="1"/>
  <c r="B8" i="1"/>
  <c r="B9" i="1"/>
  <c r="B10" i="1"/>
  <c r="B11" i="1"/>
  <c r="B12" i="1"/>
  <c r="B5" i="1"/>
  <c r="B28" i="1" s="1"/>
  <c r="E17" i="1"/>
  <c r="E6" i="1"/>
  <c r="E26" i="1" s="1"/>
  <c r="E7" i="1"/>
  <c r="E9" i="1"/>
  <c r="E10" i="1"/>
  <c r="E11" i="1"/>
  <c r="E12" i="1"/>
  <c r="E5" i="1"/>
  <c r="B34" i="1" l="1"/>
  <c r="B26" i="1"/>
  <c r="J21" i="1" s="1"/>
  <c r="K21" i="1"/>
  <c r="L29" i="1" s="1"/>
  <c r="K8" i="1"/>
  <c r="J8" i="1"/>
  <c r="K7" i="1"/>
  <c r="J7" i="1"/>
  <c r="K6" i="1"/>
  <c r="J6" i="1"/>
  <c r="K3" i="1"/>
  <c r="J3" i="1"/>
  <c r="C50" i="2"/>
  <c r="C51" i="2"/>
  <c r="C52" i="2"/>
  <c r="B52" i="2"/>
  <c r="B51" i="2"/>
  <c r="B50" i="2"/>
  <c r="C47" i="2"/>
  <c r="B47" i="2"/>
  <c r="C46" i="2"/>
  <c r="B46" i="2"/>
  <c r="C45" i="2"/>
  <c r="B45" i="2"/>
  <c r="B42" i="2"/>
  <c r="C42" i="2"/>
  <c r="C41" i="2"/>
  <c r="C40" i="2"/>
  <c r="B40" i="2"/>
  <c r="C32" i="2"/>
  <c r="C33" i="2"/>
  <c r="C34" i="2"/>
  <c r="C35" i="2"/>
  <c r="B35" i="2"/>
  <c r="B34" i="2"/>
  <c r="B33" i="2"/>
  <c r="B32" i="2"/>
  <c r="C29" i="2"/>
  <c r="C27" i="2"/>
  <c r="C25" i="2"/>
  <c r="B29" i="2"/>
  <c r="B27" i="2"/>
  <c r="C20" i="2"/>
  <c r="C19" i="2"/>
  <c r="C17" i="2"/>
  <c r="C15" i="2"/>
  <c r="C14" i="2"/>
  <c r="C12" i="2"/>
  <c r="C10" i="2"/>
  <c r="B14" i="2"/>
  <c r="B15" i="2" s="1"/>
  <c r="B12" i="2"/>
  <c r="B10" i="2"/>
  <c r="B8" i="2"/>
  <c r="J9" i="1" l="1"/>
  <c r="J13" i="1" s="1"/>
  <c r="K9" i="1"/>
  <c r="K22" i="1" s="1"/>
  <c r="M29" i="1"/>
  <c r="B17" i="2"/>
  <c r="B19" i="2" s="1"/>
  <c r="B20" i="2" s="1"/>
  <c r="C45" i="1"/>
  <c r="D45" i="1"/>
  <c r="J22" i="1" l="1"/>
  <c r="K13" i="1"/>
  <c r="K2" i="1"/>
  <c r="K4" i="1" s="1"/>
  <c r="L30" i="1"/>
  <c r="M28" i="1"/>
  <c r="B38" i="1"/>
  <c r="M30" i="1" l="1"/>
  <c r="K14" i="1"/>
  <c r="K17" i="1" s="1"/>
  <c r="B29" i="1"/>
  <c r="B33" i="1" s="1"/>
  <c r="B39" i="1"/>
  <c r="B35" i="1"/>
  <c r="B40" i="1" l="1"/>
  <c r="J2" i="1"/>
  <c r="J4" i="1" s="1"/>
  <c r="J14" i="1" s="1"/>
  <c r="M31" i="1"/>
  <c r="K20" i="1"/>
  <c r="K23" i="1" s="1"/>
  <c r="L28" i="1"/>
  <c r="B42" i="1"/>
  <c r="B44" i="1" s="1"/>
  <c r="B45" i="1" s="1"/>
  <c r="J17" i="1" l="1"/>
  <c r="J20" i="1" s="1"/>
  <c r="J23" i="1" s="1"/>
  <c r="J24" i="1" s="1"/>
  <c r="M32" i="1"/>
  <c r="K24" i="1"/>
  <c r="M33" i="1" s="1"/>
  <c r="L31" i="1"/>
  <c r="L33" i="1" l="1"/>
  <c r="L32" i="1"/>
</calcChain>
</file>

<file path=xl/sharedStrings.xml><?xml version="1.0" encoding="utf-8"?>
<sst xmlns="http://schemas.openxmlformats.org/spreadsheetml/2006/main" count="145" uniqueCount="105">
  <si>
    <t>Rechnungslegung</t>
  </si>
  <si>
    <t>IFRS</t>
  </si>
  <si>
    <t>Gesamtertrag</t>
  </si>
  <si>
    <t>Materialaufwand</t>
  </si>
  <si>
    <t>Personalaufwand</t>
  </si>
  <si>
    <t>übriger Betriebsaufwand</t>
  </si>
  <si>
    <t>Abschreibungen</t>
  </si>
  <si>
    <t>EBITDA</t>
  </si>
  <si>
    <t>Bilanzsumme</t>
  </si>
  <si>
    <t>Unternehmen</t>
  </si>
  <si>
    <t xml:space="preserve">Abschluss </t>
  </si>
  <si>
    <t>Jahresanfang</t>
  </si>
  <si>
    <t>Jahresende</t>
  </si>
  <si>
    <t>Buchwert EK</t>
  </si>
  <si>
    <t>Buchwert FK</t>
  </si>
  <si>
    <t>Anlagevermögen</t>
  </si>
  <si>
    <t>Umlaufvermögen</t>
  </si>
  <si>
    <t>davon flüssige Mittel</t>
  </si>
  <si>
    <t>davon verzinsliches FK</t>
  </si>
  <si>
    <t>Anschaffungswerte Anlagen</t>
  </si>
  <si>
    <t>Mittelwert</t>
  </si>
  <si>
    <t>davon Verkehrsertrag</t>
  </si>
  <si>
    <t>davon Gastro/Beherbergungsertrag</t>
  </si>
  <si>
    <t>davon übriger Ertrag</t>
  </si>
  <si>
    <t xml:space="preserve">EBIT </t>
  </si>
  <si>
    <t>Gewinnsteuersatz</t>
  </si>
  <si>
    <t>Net Operating Assets</t>
  </si>
  <si>
    <t>FER</t>
  </si>
  <si>
    <t>Total Assets</t>
  </si>
  <si>
    <t>Kapitalumschlag</t>
  </si>
  <si>
    <t>mit Net Operating Assets</t>
  </si>
  <si>
    <t>Margen</t>
  </si>
  <si>
    <t>NOPAT</t>
  </si>
  <si>
    <t>RONOA</t>
  </si>
  <si>
    <t>RONOA (Net Operating Assets)</t>
  </si>
  <si>
    <t>WACC</t>
  </si>
  <si>
    <t>Eigenkapitalkostensatz</t>
  </si>
  <si>
    <t xml:space="preserve">EVA-Spread </t>
  </si>
  <si>
    <t xml:space="preserve">EVA </t>
  </si>
  <si>
    <t>Nettoerlös</t>
  </si>
  <si>
    <t>Bruttogewinn</t>
  </si>
  <si>
    <t>Finanzergebnis</t>
  </si>
  <si>
    <t>EBT</t>
  </si>
  <si>
    <t>Steuern</t>
  </si>
  <si>
    <t>Jahresgewinn</t>
  </si>
  <si>
    <t>in %</t>
  </si>
  <si>
    <t xml:space="preserve">in % </t>
  </si>
  <si>
    <t>Burkhalter</t>
  </si>
  <si>
    <t>Flughafen Zürich</t>
  </si>
  <si>
    <t xml:space="preserve">in TCHF </t>
  </si>
  <si>
    <t>Operating Assets</t>
  </si>
  <si>
    <t>Capital Employed</t>
  </si>
  <si>
    <t>-flüssige Mittel</t>
  </si>
  <si>
    <t>- nicht verzinsliches FK</t>
  </si>
  <si>
    <t>-nicht betriebliches Vermögen</t>
  </si>
  <si>
    <t>mit TA</t>
  </si>
  <si>
    <t>mit OA</t>
  </si>
  <si>
    <t>mit NOA</t>
  </si>
  <si>
    <t>mit CE</t>
  </si>
  <si>
    <t>EBIT</t>
  </si>
  <si>
    <t>Return on Total Assets</t>
  </si>
  <si>
    <t>Return on Net Operating Assets</t>
  </si>
  <si>
    <t>Return on Capital Employed</t>
  </si>
  <si>
    <t xml:space="preserve">Kapitalrendite mit EBIT als Basis </t>
  </si>
  <si>
    <t>Kapitalrendite mit NOPAT als Basis</t>
  </si>
  <si>
    <t>Kapitalkostensatz</t>
  </si>
  <si>
    <t>FK-Kostensatz vor Steuern</t>
  </si>
  <si>
    <t>d</t>
  </si>
  <si>
    <t>Televerbier</t>
  </si>
  <si>
    <t>N</t>
  </si>
  <si>
    <t>PV</t>
  </si>
  <si>
    <t>Brutto-Cashflow</t>
  </si>
  <si>
    <t>Anschaffungswerte AV</t>
  </si>
  <si>
    <t>UV</t>
  </si>
  <si>
    <t>nicht verzinsliches FK</t>
  </si>
  <si>
    <t>Bruttoinvestitionsbasis</t>
  </si>
  <si>
    <t>PMT</t>
  </si>
  <si>
    <t>FV</t>
  </si>
  <si>
    <t>nachschüssig</t>
  </si>
  <si>
    <t>Auflösen nach I%</t>
  </si>
  <si>
    <t>= CFROI</t>
  </si>
  <si>
    <t xml:space="preserve">in CHF </t>
  </si>
  <si>
    <t>CFROI</t>
  </si>
  <si>
    <t>BIB</t>
  </si>
  <si>
    <t>CVA</t>
  </si>
  <si>
    <t>CVA-Spread</t>
  </si>
  <si>
    <t>CVA-Ansatz</t>
  </si>
  <si>
    <t>EVA-Ansatz</t>
  </si>
  <si>
    <t>Kapitalbasis</t>
  </si>
  <si>
    <t>NOA</t>
  </si>
  <si>
    <t>Rendite</t>
  </si>
  <si>
    <t>"Gewinngrösse"</t>
  </si>
  <si>
    <t>BCF</t>
  </si>
  <si>
    <t>Überrendite</t>
  </si>
  <si>
    <t>Übergewinn</t>
  </si>
  <si>
    <t xml:space="preserve">EVA  </t>
  </si>
  <si>
    <t xml:space="preserve">CVA  </t>
  </si>
  <si>
    <t>EVA-Spread</t>
  </si>
  <si>
    <t>Jungfraubahn</t>
  </si>
  <si>
    <t>mit AW Anlagen + UV</t>
  </si>
  <si>
    <t>Jungfrau</t>
  </si>
  <si>
    <t>2017/18 Herbst</t>
  </si>
  <si>
    <t>2017/18</t>
  </si>
  <si>
    <t xml:space="preserve">Televerbier </t>
  </si>
  <si>
    <t xml:space="preserve">Jungfraubahn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</si>
</sst>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_ * #,##0.0_ ;_ * \-#,##0.0_ ;_ * &quot;-&quot;??_ ;_ @_ "/>
    <numFmt numFmtId="167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0" applyNumberFormat="1"/>
    <xf numFmtId="0" fontId="0" fillId="0" borderId="0" xfId="0"/>
    <xf numFmtId="0" fontId="0" fillId="2" borderId="0" xfId="0" applyFill="1"/>
    <xf numFmtId="0" fontId="5" fillId="0" borderId="0" xfId="0" applyFont="1"/>
    <xf numFmtId="0" fontId="2" fillId="3" borderId="0" xfId="0" applyFont="1" applyFill="1"/>
    <xf numFmtId="0" fontId="5" fillId="2" borderId="0" xfId="0" applyFont="1" applyFill="1"/>
    <xf numFmtId="165" fontId="5" fillId="2" borderId="0" xfId="1" applyNumberFormat="1" applyFont="1" applyFill="1"/>
    <xf numFmtId="0" fontId="2" fillId="2" borderId="0" xfId="0" applyFont="1" applyFill="1"/>
    <xf numFmtId="164" fontId="5" fillId="2" borderId="0" xfId="2" applyNumberFormat="1" applyFont="1" applyFill="1"/>
    <xf numFmtId="165" fontId="2" fillId="2" borderId="0" xfId="1" applyNumberFormat="1" applyFont="1" applyFill="1"/>
    <xf numFmtId="0" fontId="6" fillId="2" borderId="0" xfId="0" applyFont="1" applyFill="1"/>
    <xf numFmtId="164" fontId="6" fillId="2" borderId="0" xfId="2" applyNumberFormat="1" applyFont="1" applyFill="1"/>
    <xf numFmtId="0" fontId="3" fillId="3" borderId="0" xfId="0" applyFont="1" applyFill="1"/>
    <xf numFmtId="0" fontId="5" fillId="2" borderId="0" xfId="0" quotePrefix="1" applyFont="1" applyFill="1"/>
    <xf numFmtId="165" fontId="5" fillId="2" borderId="0" xfId="0" applyNumberFormat="1" applyFont="1" applyFill="1"/>
    <xf numFmtId="164" fontId="5" fillId="2" borderId="0" xfId="0" applyNumberFormat="1" applyFont="1" applyFill="1"/>
    <xf numFmtId="0" fontId="4" fillId="2" borderId="3" xfId="0" applyFont="1" applyFill="1" applyBorder="1"/>
    <xf numFmtId="165" fontId="3" fillId="2" borderId="4" xfId="1" applyNumberFormat="1" applyFont="1" applyFill="1" applyBorder="1"/>
    <xf numFmtId="0" fontId="2" fillId="2" borderId="7" xfId="0" applyFont="1" applyFill="1" applyBorder="1"/>
    <xf numFmtId="0" fontId="2" fillId="2" borderId="10" xfId="0" applyFont="1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5" fillId="2" borderId="3" xfId="0" applyFont="1" applyFill="1" applyBorder="1"/>
    <xf numFmtId="0" fontId="5" fillId="2" borderId="8" xfId="0" applyFont="1" applyFill="1" applyBorder="1"/>
    <xf numFmtId="0" fontId="5" fillId="2" borderId="0" xfId="0" applyFont="1" applyFill="1" applyBorder="1"/>
    <xf numFmtId="0" fontId="5" fillId="2" borderId="4" xfId="0" applyFont="1" applyFill="1" applyBorder="1"/>
    <xf numFmtId="0" fontId="5" fillId="2" borderId="1" xfId="0" applyFont="1" applyFill="1" applyBorder="1"/>
    <xf numFmtId="0" fontId="5" fillId="2" borderId="9" xfId="0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165" fontId="5" fillId="2" borderId="0" xfId="1" applyNumberFormat="1" applyFont="1" applyFill="1" applyBorder="1"/>
    <xf numFmtId="165" fontId="5" fillId="2" borderId="1" xfId="1" applyNumberFormat="1" applyFont="1" applyFill="1" applyBorder="1"/>
    <xf numFmtId="0" fontId="7" fillId="2" borderId="8" xfId="0" applyFont="1" applyFill="1" applyBorder="1"/>
    <xf numFmtId="165" fontId="8" fillId="2" borderId="4" xfId="1" applyNumberFormat="1" applyFont="1" applyFill="1" applyBorder="1"/>
    <xf numFmtId="0" fontId="10" fillId="2" borderId="9" xfId="0" applyFont="1" applyFill="1" applyBorder="1"/>
    <xf numFmtId="165" fontId="11" fillId="2" borderId="6" xfId="1" applyNumberFormat="1" applyFont="1" applyFill="1" applyBorder="1"/>
    <xf numFmtId="0" fontId="10" fillId="2" borderId="8" xfId="0" applyFont="1" applyFill="1" applyBorder="1"/>
    <xf numFmtId="0" fontId="12" fillId="2" borderId="2" xfId="0" applyFont="1" applyFill="1" applyBorder="1"/>
    <xf numFmtId="0" fontId="10" fillId="2" borderId="10" xfId="0" applyFont="1" applyFill="1" applyBorder="1"/>
    <xf numFmtId="0" fontId="10" fillId="2" borderId="3" xfId="0" applyFont="1" applyFill="1" applyBorder="1"/>
    <xf numFmtId="165" fontId="10" fillId="2" borderId="1" xfId="1" applyNumberFormat="1" applyFont="1" applyFill="1" applyBorder="1"/>
    <xf numFmtId="165" fontId="10" fillId="2" borderId="0" xfId="1" applyNumberFormat="1" applyFont="1" applyFill="1" applyBorder="1"/>
    <xf numFmtId="165" fontId="10" fillId="2" borderId="4" xfId="1" applyNumberFormat="1" applyFont="1" applyFill="1" applyBorder="1"/>
    <xf numFmtId="0" fontId="10" fillId="2" borderId="0" xfId="0" applyFont="1" applyFill="1" applyBorder="1"/>
    <xf numFmtId="0" fontId="10" fillId="2" borderId="4" xfId="0" applyFont="1" applyFill="1" applyBorder="1"/>
    <xf numFmtId="0" fontId="13" fillId="2" borderId="8" xfId="0" applyFont="1" applyFill="1" applyBorder="1"/>
    <xf numFmtId="165" fontId="13" fillId="2" borderId="1" xfId="1" applyNumberFormat="1" applyFont="1" applyFill="1" applyBorder="1"/>
    <xf numFmtId="165" fontId="13" fillId="2" borderId="0" xfId="1" applyNumberFormat="1" applyFont="1" applyFill="1" applyBorder="1"/>
    <xf numFmtId="165" fontId="13" fillId="2" borderId="4" xfId="1" applyNumberFormat="1" applyFont="1" applyFill="1" applyBorder="1"/>
    <xf numFmtId="0" fontId="13" fillId="2" borderId="0" xfId="0" applyFont="1" applyFill="1" applyBorder="1"/>
    <xf numFmtId="0" fontId="13" fillId="2" borderId="4" xfId="0" applyFont="1" applyFill="1" applyBorder="1"/>
    <xf numFmtId="9" fontId="10" fillId="2" borderId="5" xfId="2" applyFont="1" applyFill="1" applyBorder="1"/>
    <xf numFmtId="166" fontId="10" fillId="2" borderId="11" xfId="1" applyNumberFormat="1" applyFont="1" applyFill="1" applyBorder="1"/>
    <xf numFmtId="166" fontId="10" fillId="2" borderId="6" xfId="1" applyNumberFormat="1" applyFont="1" applyFill="1" applyBorder="1"/>
    <xf numFmtId="0" fontId="10" fillId="2" borderId="11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2" xfId="0" applyFont="1" applyFill="1" applyBorder="1"/>
    <xf numFmtId="10" fontId="10" fillId="2" borderId="1" xfId="0" applyNumberFormat="1" applyFont="1" applyFill="1" applyBorder="1"/>
    <xf numFmtId="10" fontId="10" fillId="2" borderId="0" xfId="0" applyNumberFormat="1" applyFont="1" applyFill="1" applyBorder="1"/>
    <xf numFmtId="10" fontId="10" fillId="2" borderId="4" xfId="0" applyNumberFormat="1" applyFont="1" applyFill="1" applyBorder="1"/>
    <xf numFmtId="10" fontId="10" fillId="2" borderId="5" xfId="2" applyNumberFormat="1" applyFont="1" applyFill="1" applyBorder="1"/>
    <xf numFmtId="10" fontId="10" fillId="2" borderId="11" xfId="2" applyNumberFormat="1" applyFont="1" applyFill="1" applyBorder="1"/>
    <xf numFmtId="10" fontId="10" fillId="2" borderId="6" xfId="2" applyNumberFormat="1" applyFont="1" applyFill="1" applyBorder="1"/>
    <xf numFmtId="0" fontId="10" fillId="2" borderId="0" xfId="0" applyFont="1" applyFill="1"/>
    <xf numFmtId="0" fontId="10" fillId="2" borderId="0" xfId="0" quotePrefix="1" applyFont="1" applyFill="1"/>
    <xf numFmtId="0" fontId="13" fillId="2" borderId="0" xfId="0" applyFont="1" applyFill="1"/>
    <xf numFmtId="165" fontId="10" fillId="2" borderId="0" xfId="0" applyNumberFormat="1" applyFont="1" applyFill="1"/>
    <xf numFmtId="164" fontId="10" fillId="2" borderId="0" xfId="2" applyNumberFormat="1" applyFont="1" applyFill="1"/>
    <xf numFmtId="165" fontId="10" fillId="2" borderId="0" xfId="1" applyNumberFormat="1" applyFont="1" applyFill="1"/>
    <xf numFmtId="164" fontId="10" fillId="2" borderId="0" xfId="0" applyNumberFormat="1" applyFont="1" applyFill="1"/>
    <xf numFmtId="0" fontId="4" fillId="2" borderId="7" xfId="0" applyFont="1" applyFill="1" applyBorder="1"/>
    <xf numFmtId="165" fontId="3" fillId="2" borderId="8" xfId="1" applyNumberFormat="1" applyFont="1" applyFill="1" applyBorder="1"/>
    <xf numFmtId="165" fontId="8" fillId="2" borderId="8" xfId="1" applyNumberFormat="1" applyFont="1" applyFill="1" applyBorder="1"/>
    <xf numFmtId="165" fontId="11" fillId="2" borderId="9" xfId="1" applyNumberFormat="1" applyFont="1" applyFill="1" applyBorder="1"/>
    <xf numFmtId="167" fontId="10" fillId="2" borderId="0" xfId="2" applyNumberFormat="1" applyFont="1" applyFill="1"/>
    <xf numFmtId="167" fontId="10" fillId="2" borderId="0" xfId="0" applyNumberFormat="1" applyFont="1" applyFill="1"/>
    <xf numFmtId="167" fontId="5" fillId="2" borderId="0" xfId="0" applyNumberFormat="1" applyFont="1" applyFill="1"/>
    <xf numFmtId="0" fontId="12" fillId="2" borderId="0" xfId="0" applyFont="1" applyFill="1"/>
    <xf numFmtId="167" fontId="10" fillId="2" borderId="2" xfId="2" applyNumberFormat="1" applyFont="1" applyFill="1" applyBorder="1"/>
    <xf numFmtId="167" fontId="10" fillId="2" borderId="3" xfId="2" applyNumberFormat="1" applyFont="1" applyFill="1" applyBorder="1"/>
    <xf numFmtId="165" fontId="10" fillId="2" borderId="5" xfId="0" applyNumberFormat="1" applyFont="1" applyFill="1" applyBorder="1"/>
    <xf numFmtId="165" fontId="10" fillId="2" borderId="6" xfId="0" applyNumberFormat="1" applyFont="1" applyFill="1" applyBorder="1"/>
    <xf numFmtId="165" fontId="9" fillId="2" borderId="8" xfId="0" applyNumberFormat="1" applyFont="1" applyFill="1" applyBorder="1"/>
    <xf numFmtId="0" fontId="9" fillId="2" borderId="8" xfId="0" applyFont="1" applyFill="1" applyBorder="1"/>
    <xf numFmtId="167" fontId="9" fillId="2" borderId="8" xfId="0" applyNumberFormat="1" applyFont="1" applyFill="1" applyBorder="1"/>
    <xf numFmtId="43" fontId="10" fillId="2" borderId="9" xfId="1" applyFont="1" applyFill="1" applyBorder="1"/>
  </cellXfs>
  <cellStyles count="4">
    <cellStyle name="Komma" xfId="1" builtinId="3"/>
    <cellStyle name="Komma 2" xf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topLeftCell="B1" zoomScale="85" zoomScaleNormal="85" workbookViewId="0">
      <selection activeCell="E28" sqref="E28:E46"/>
    </sheetView>
  </sheetViews>
  <sheetFormatPr baseColWidth="10" defaultColWidth="11.453125" defaultRowHeight="18.5" x14ac:dyDescent="0.45"/>
  <cols>
    <col min="1" max="1" width="30.7265625" style="4" customWidth="1"/>
    <col min="2" max="2" width="19.54296875" style="4" customWidth="1"/>
    <col min="3" max="3" width="14" style="4" customWidth="1"/>
    <col min="4" max="4" width="5.1796875" style="4" customWidth="1"/>
    <col min="5" max="5" width="18.26953125" style="4" customWidth="1"/>
    <col min="6" max="7" width="14.7265625" style="4" customWidth="1"/>
    <col min="8" max="8" width="11.453125" style="4"/>
    <col min="9" max="9" width="31.1796875" style="4" customWidth="1"/>
    <col min="10" max="10" width="17.453125" style="4" customWidth="1"/>
    <col min="11" max="11" width="16" style="4" customWidth="1"/>
    <col min="12" max="13" width="15.7265625" style="4" customWidth="1"/>
    <col min="14" max="16384" width="11.453125" style="4"/>
  </cols>
  <sheetData>
    <row r="1" spans="1:11" x14ac:dyDescent="0.45">
      <c r="A1" s="19" t="s">
        <v>9</v>
      </c>
      <c r="B1" s="20" t="s">
        <v>103</v>
      </c>
      <c r="C1" s="20"/>
      <c r="D1" s="21"/>
      <c r="E1" s="22" t="s">
        <v>104</v>
      </c>
      <c r="F1" s="20"/>
      <c r="G1" s="23"/>
      <c r="H1" s="6"/>
      <c r="I1" s="8" t="s">
        <v>81</v>
      </c>
      <c r="J1" s="8" t="s">
        <v>68</v>
      </c>
      <c r="K1" s="8" t="s">
        <v>98</v>
      </c>
    </row>
    <row r="2" spans="1:11" x14ac:dyDescent="0.45">
      <c r="A2" s="24" t="s">
        <v>0</v>
      </c>
      <c r="B2" s="25" t="s">
        <v>1</v>
      </c>
      <c r="C2" s="25"/>
      <c r="D2" s="26"/>
      <c r="E2" s="27" t="s">
        <v>27</v>
      </c>
      <c r="F2" s="25"/>
      <c r="G2" s="26"/>
      <c r="H2" s="6"/>
      <c r="I2" s="6" t="s">
        <v>32</v>
      </c>
      <c r="J2" s="15">
        <f>B35</f>
        <v>1766.4</v>
      </c>
      <c r="K2" s="15">
        <f>E35</f>
        <v>0</v>
      </c>
    </row>
    <row r="3" spans="1:11" x14ac:dyDescent="0.45">
      <c r="A3" s="28" t="s">
        <v>10</v>
      </c>
      <c r="B3" s="29" t="s">
        <v>101</v>
      </c>
      <c r="C3" s="29"/>
      <c r="D3" s="30"/>
      <c r="E3" s="31">
        <v>2018</v>
      </c>
      <c r="F3" s="29"/>
      <c r="G3" s="30"/>
      <c r="H3" s="6"/>
      <c r="I3" s="6" t="s">
        <v>6</v>
      </c>
      <c r="J3" s="15">
        <f>B20</f>
        <v>12879</v>
      </c>
      <c r="K3" s="15">
        <f>E20</f>
        <v>34142</v>
      </c>
    </row>
    <row r="4" spans="1:11" x14ac:dyDescent="0.45">
      <c r="A4" s="32" t="s">
        <v>49</v>
      </c>
      <c r="B4" s="20" t="s">
        <v>20</v>
      </c>
      <c r="C4" s="74" t="s">
        <v>11</v>
      </c>
      <c r="D4" s="17" t="s">
        <v>12</v>
      </c>
      <c r="E4" s="22" t="s">
        <v>20</v>
      </c>
      <c r="F4" s="74" t="s">
        <v>11</v>
      </c>
      <c r="G4" s="17" t="s">
        <v>12</v>
      </c>
      <c r="H4" s="8"/>
      <c r="I4" s="6" t="s">
        <v>71</v>
      </c>
      <c r="J4" s="15">
        <f>J2+J3</f>
        <v>14645.4</v>
      </c>
      <c r="K4" s="15">
        <f>K2+K3</f>
        <v>34142</v>
      </c>
    </row>
    <row r="5" spans="1:11" x14ac:dyDescent="0.45">
      <c r="A5" s="24" t="s">
        <v>8</v>
      </c>
      <c r="B5" s="33">
        <f>(C5+D5)/2</f>
        <v>179984.5</v>
      </c>
      <c r="C5" s="75">
        <v>181324</v>
      </c>
      <c r="D5" s="18">
        <v>178645</v>
      </c>
      <c r="E5" s="34">
        <f>(F5+G5)/2</f>
        <v>685537.5</v>
      </c>
      <c r="F5" s="75">
        <v>656759</v>
      </c>
      <c r="G5" s="18">
        <v>714316</v>
      </c>
      <c r="H5" s="6"/>
      <c r="I5" s="6"/>
      <c r="J5" s="6"/>
      <c r="K5" s="6"/>
    </row>
    <row r="6" spans="1:11" x14ac:dyDescent="0.45">
      <c r="A6" s="24" t="s">
        <v>13</v>
      </c>
      <c r="B6" s="33">
        <f t="shared" ref="B6:B12" si="0">(C6+D6)/2</f>
        <v>121282</v>
      </c>
      <c r="C6" s="75">
        <v>120496</v>
      </c>
      <c r="D6" s="18">
        <v>122068</v>
      </c>
      <c r="E6" s="34">
        <f t="shared" ref="E6:E12" si="1">(F6+G6)/2</f>
        <v>552785.5</v>
      </c>
      <c r="F6" s="75">
        <v>535911</v>
      </c>
      <c r="G6" s="18">
        <v>569660</v>
      </c>
      <c r="H6" s="6"/>
      <c r="I6" s="6" t="s">
        <v>72</v>
      </c>
      <c r="J6" s="15">
        <f>B12</f>
        <v>409836</v>
      </c>
      <c r="K6" s="15">
        <f>E12</f>
        <v>1015362</v>
      </c>
    </row>
    <row r="7" spans="1:11" x14ac:dyDescent="0.45">
      <c r="A7" s="24" t="s">
        <v>14</v>
      </c>
      <c r="B7" s="33">
        <f t="shared" si="0"/>
        <v>58702.5</v>
      </c>
      <c r="C7" s="75">
        <f>C5-C6</f>
        <v>60828</v>
      </c>
      <c r="D7" s="18">
        <f>D5-D6</f>
        <v>56577</v>
      </c>
      <c r="E7" s="34">
        <f t="shared" si="1"/>
        <v>132752</v>
      </c>
      <c r="F7" s="75">
        <v>120848</v>
      </c>
      <c r="G7" s="18">
        <v>144656</v>
      </c>
      <c r="H7" s="6"/>
      <c r="I7" s="6" t="s">
        <v>73</v>
      </c>
      <c r="J7" s="15">
        <f>B10</f>
        <v>15386.5</v>
      </c>
      <c r="K7" s="15">
        <f>E10</f>
        <v>124241</v>
      </c>
    </row>
    <row r="8" spans="1:11" x14ac:dyDescent="0.45">
      <c r="A8" s="35" t="s">
        <v>18</v>
      </c>
      <c r="B8" s="33">
        <f t="shared" si="0"/>
        <v>14983.5</v>
      </c>
      <c r="C8" s="76">
        <v>16019</v>
      </c>
      <c r="D8" s="36">
        <v>13948</v>
      </c>
      <c r="E8" s="34">
        <f t="shared" si="1"/>
        <v>0</v>
      </c>
      <c r="F8" s="76">
        <v>0</v>
      </c>
      <c r="G8" s="36">
        <v>0</v>
      </c>
      <c r="H8" s="6"/>
      <c r="I8" s="6" t="s">
        <v>74</v>
      </c>
      <c r="J8" s="15">
        <f>B7-B8</f>
        <v>43719</v>
      </c>
      <c r="K8" s="15">
        <f>E7-E8</f>
        <v>132752</v>
      </c>
    </row>
    <row r="9" spans="1:11" x14ac:dyDescent="0.45">
      <c r="A9" s="24" t="s">
        <v>15</v>
      </c>
      <c r="B9" s="33">
        <f t="shared" si="0"/>
        <v>164598</v>
      </c>
      <c r="C9" s="75">
        <v>165535</v>
      </c>
      <c r="D9" s="18">
        <v>163661</v>
      </c>
      <c r="E9" s="34">
        <f t="shared" si="1"/>
        <v>561294.5</v>
      </c>
      <c r="F9" s="75">
        <v>540372</v>
      </c>
      <c r="G9" s="18">
        <v>582217</v>
      </c>
      <c r="H9" s="6"/>
      <c r="I9" s="6" t="s">
        <v>75</v>
      </c>
      <c r="J9" s="15">
        <f>J6+J7-J8</f>
        <v>381503.5</v>
      </c>
      <c r="K9" s="15">
        <f>K6+K7-K8</f>
        <v>1006851</v>
      </c>
    </row>
    <row r="10" spans="1:11" x14ac:dyDescent="0.45">
      <c r="A10" s="24" t="s">
        <v>16</v>
      </c>
      <c r="B10" s="33">
        <f t="shared" si="0"/>
        <v>15386.5</v>
      </c>
      <c r="C10" s="75">
        <v>15789</v>
      </c>
      <c r="D10" s="18">
        <v>14984</v>
      </c>
      <c r="E10" s="34">
        <f t="shared" si="1"/>
        <v>124241</v>
      </c>
      <c r="F10" s="75">
        <v>116387</v>
      </c>
      <c r="G10" s="18">
        <v>132095</v>
      </c>
      <c r="H10" s="6"/>
      <c r="I10" s="6"/>
      <c r="J10" s="6"/>
      <c r="K10" s="6"/>
    </row>
    <row r="11" spans="1:11" x14ac:dyDescent="0.45">
      <c r="A11" s="35" t="s">
        <v>17</v>
      </c>
      <c r="B11" s="33">
        <f t="shared" si="0"/>
        <v>6553</v>
      </c>
      <c r="C11" s="76">
        <v>6949</v>
      </c>
      <c r="D11" s="36">
        <v>6157</v>
      </c>
      <c r="E11" s="34">
        <f t="shared" si="1"/>
        <v>84837</v>
      </c>
      <c r="F11" s="76">
        <v>82284</v>
      </c>
      <c r="G11" s="36">
        <v>87390</v>
      </c>
      <c r="H11" s="6"/>
      <c r="I11" s="6"/>
      <c r="J11" s="6"/>
      <c r="K11" s="6"/>
    </row>
    <row r="12" spans="1:11" x14ac:dyDescent="0.45">
      <c r="A12" s="37" t="s">
        <v>19</v>
      </c>
      <c r="B12" s="33">
        <f t="shared" si="0"/>
        <v>409836</v>
      </c>
      <c r="C12" s="77">
        <v>405205</v>
      </c>
      <c r="D12" s="38">
        <v>414467</v>
      </c>
      <c r="E12" s="34">
        <f t="shared" si="1"/>
        <v>1015362</v>
      </c>
      <c r="F12" s="77">
        <v>985258</v>
      </c>
      <c r="G12" s="38">
        <v>1045466</v>
      </c>
      <c r="H12" s="6"/>
      <c r="I12" s="6" t="s">
        <v>69</v>
      </c>
      <c r="J12" s="6">
        <v>32</v>
      </c>
      <c r="K12" s="59">
        <v>34</v>
      </c>
    </row>
    <row r="13" spans="1:11" x14ac:dyDescent="0.45">
      <c r="A13" s="39"/>
      <c r="B13" s="40" t="s">
        <v>102</v>
      </c>
      <c r="C13" s="41"/>
      <c r="D13" s="42"/>
      <c r="E13" s="40">
        <v>2018</v>
      </c>
      <c r="F13" s="41"/>
      <c r="G13" s="42"/>
      <c r="H13" s="6"/>
      <c r="I13" s="6" t="s">
        <v>70</v>
      </c>
      <c r="J13" s="15">
        <f>J9*-1</f>
        <v>-381503.5</v>
      </c>
      <c r="K13" s="86">
        <f>K9*-1</f>
        <v>-1006851</v>
      </c>
    </row>
    <row r="14" spans="1:11" x14ac:dyDescent="0.45">
      <c r="A14" s="39" t="s">
        <v>2</v>
      </c>
      <c r="B14" s="43">
        <v>55299</v>
      </c>
      <c r="C14" s="44"/>
      <c r="D14" s="45"/>
      <c r="E14" s="43">
        <v>212815</v>
      </c>
      <c r="F14" s="46"/>
      <c r="G14" s="47"/>
      <c r="H14" s="6"/>
      <c r="I14" s="6" t="s">
        <v>76</v>
      </c>
      <c r="J14" s="15">
        <f>J4</f>
        <v>14645.4</v>
      </c>
      <c r="K14" s="86">
        <f>K4</f>
        <v>34142</v>
      </c>
    </row>
    <row r="15" spans="1:11" x14ac:dyDescent="0.45">
      <c r="A15" s="48" t="s">
        <v>21</v>
      </c>
      <c r="B15" s="49">
        <v>37697</v>
      </c>
      <c r="C15" s="50"/>
      <c r="D15" s="51"/>
      <c r="E15" s="49">
        <v>153833</v>
      </c>
      <c r="F15" s="52"/>
      <c r="G15" s="53"/>
      <c r="H15" s="6"/>
      <c r="I15" s="6" t="s">
        <v>77</v>
      </c>
      <c r="J15" s="6">
        <v>0</v>
      </c>
      <c r="K15" s="87">
        <v>0</v>
      </c>
    </row>
    <row r="16" spans="1:11" x14ac:dyDescent="0.45">
      <c r="A16" s="48" t="s">
        <v>22</v>
      </c>
      <c r="B16" s="49">
        <v>4931</v>
      </c>
      <c r="C16" s="50"/>
      <c r="D16" s="51"/>
      <c r="E16" s="49">
        <v>4382</v>
      </c>
      <c r="F16" s="52"/>
      <c r="G16" s="53"/>
      <c r="H16" s="6"/>
      <c r="I16" s="6" t="s">
        <v>78</v>
      </c>
      <c r="J16" s="6"/>
      <c r="K16" s="87"/>
    </row>
    <row r="17" spans="1:13" x14ac:dyDescent="0.45">
      <c r="A17" s="39" t="s">
        <v>23</v>
      </c>
      <c r="B17" s="43">
        <f>B14-B15-B16</f>
        <v>12671</v>
      </c>
      <c r="C17" s="44"/>
      <c r="D17" s="45"/>
      <c r="E17" s="43">
        <f>E14-E15-E16</f>
        <v>54600</v>
      </c>
      <c r="F17" s="46"/>
      <c r="G17" s="47"/>
      <c r="H17" s="6"/>
      <c r="I17" s="6" t="s">
        <v>79</v>
      </c>
      <c r="J17" s="80">
        <f>RATE(J12,J14,J13,J15,0)</f>
        <v>1.2981942331256446E-2</v>
      </c>
      <c r="K17" s="88">
        <f>RATE(K12,K14,K13,K15,0)</f>
        <v>8.3568214414189643E-3</v>
      </c>
    </row>
    <row r="18" spans="1:13" x14ac:dyDescent="0.45">
      <c r="A18" s="39" t="s">
        <v>4</v>
      </c>
      <c r="B18" s="43">
        <v>22277</v>
      </c>
      <c r="C18" s="44"/>
      <c r="D18" s="45"/>
      <c r="E18" s="43">
        <v>60173</v>
      </c>
      <c r="F18" s="46"/>
      <c r="G18" s="47"/>
      <c r="H18" s="6"/>
      <c r="I18" s="14" t="s">
        <v>80</v>
      </c>
      <c r="J18" s="6"/>
      <c r="K18" s="89"/>
    </row>
    <row r="19" spans="1:13" x14ac:dyDescent="0.45">
      <c r="A19" s="39" t="s">
        <v>7</v>
      </c>
      <c r="B19" s="43">
        <v>15087</v>
      </c>
      <c r="C19" s="44"/>
      <c r="D19" s="45"/>
      <c r="E19" s="43">
        <v>95111</v>
      </c>
      <c r="F19" s="46"/>
      <c r="G19" s="47"/>
      <c r="H19" s="6"/>
      <c r="I19" s="67"/>
      <c r="J19" s="81" t="str">
        <f>J1</f>
        <v>Televerbier</v>
      </c>
      <c r="K19" s="81" t="s">
        <v>98</v>
      </c>
    </row>
    <row r="20" spans="1:13" x14ac:dyDescent="0.45">
      <c r="A20" s="39" t="s">
        <v>6</v>
      </c>
      <c r="B20" s="43">
        <v>12879</v>
      </c>
      <c r="C20" s="44"/>
      <c r="D20" s="45"/>
      <c r="E20" s="43">
        <v>34142</v>
      </c>
      <c r="F20" s="46"/>
      <c r="G20" s="47"/>
      <c r="H20" s="6"/>
      <c r="I20" s="67" t="s">
        <v>82</v>
      </c>
      <c r="J20" s="79">
        <f>J17</f>
        <v>1.2981942331256446E-2</v>
      </c>
      <c r="K20" s="79">
        <f>K17</f>
        <v>8.3568214414189643E-3</v>
      </c>
    </row>
    <row r="21" spans="1:13" x14ac:dyDescent="0.45">
      <c r="A21" s="39" t="s">
        <v>24</v>
      </c>
      <c r="B21" s="43">
        <v>2208</v>
      </c>
      <c r="C21" s="44"/>
      <c r="D21" s="45"/>
      <c r="E21" s="43">
        <v>60969</v>
      </c>
      <c r="F21" s="46"/>
      <c r="G21" s="47"/>
      <c r="H21" s="6"/>
      <c r="I21" s="67" t="s">
        <v>35</v>
      </c>
      <c r="J21" s="79">
        <f>B26</f>
        <v>0.10921530629543061</v>
      </c>
      <c r="K21" s="79">
        <f>E26</f>
        <v>7.0000000000000007E-2</v>
      </c>
    </row>
    <row r="22" spans="1:13" x14ac:dyDescent="0.45">
      <c r="A22" s="37" t="s">
        <v>25</v>
      </c>
      <c r="B22" s="54">
        <v>0.2</v>
      </c>
      <c r="C22" s="55"/>
      <c r="D22" s="56"/>
      <c r="E22" s="54">
        <v>0.2</v>
      </c>
      <c r="F22" s="57"/>
      <c r="G22" s="58"/>
      <c r="H22" s="6"/>
      <c r="I22" s="67" t="s">
        <v>83</v>
      </c>
      <c r="J22" s="70">
        <f>J9</f>
        <v>381503.5</v>
      </c>
      <c r="K22" s="70">
        <f>K9</f>
        <v>1006851</v>
      </c>
    </row>
    <row r="23" spans="1:13" x14ac:dyDescent="0.45">
      <c r="A23" s="59" t="s">
        <v>65</v>
      </c>
      <c r="B23" s="60"/>
      <c r="C23" s="41"/>
      <c r="D23" s="42"/>
      <c r="E23" s="60"/>
      <c r="F23" s="41"/>
      <c r="G23" s="42"/>
      <c r="H23" s="6" t="s">
        <v>67</v>
      </c>
      <c r="I23" s="67" t="s">
        <v>85</v>
      </c>
      <c r="J23" s="82">
        <f>J20-J21</f>
        <v>-9.6233363964174159E-2</v>
      </c>
      <c r="K23" s="83">
        <f>K20-K21</f>
        <v>-6.1643178558581042E-2</v>
      </c>
    </row>
    <row r="24" spans="1:13" x14ac:dyDescent="0.45">
      <c r="A24" s="39" t="s">
        <v>66</v>
      </c>
      <c r="B24" s="61">
        <v>2.7400000000000001E-2</v>
      </c>
      <c r="C24" s="46"/>
      <c r="D24" s="47"/>
      <c r="E24" s="61"/>
      <c r="F24" s="46"/>
      <c r="G24" s="47"/>
      <c r="H24" s="6"/>
      <c r="I24" s="67" t="s">
        <v>84</v>
      </c>
      <c r="J24" s="84">
        <f>J22*J23</f>
        <v>-36713.365169106313</v>
      </c>
      <c r="K24" s="85">
        <f>K22*K23</f>
        <v>-62065.495974885882</v>
      </c>
    </row>
    <row r="25" spans="1:13" x14ac:dyDescent="0.45">
      <c r="A25" s="39" t="s">
        <v>36</v>
      </c>
      <c r="B25" s="61">
        <v>0.12</v>
      </c>
      <c r="C25" s="62"/>
      <c r="D25" s="63"/>
      <c r="E25" s="61">
        <v>7.0000000000000007E-2</v>
      </c>
      <c r="F25" s="46"/>
      <c r="G25" s="47"/>
      <c r="H25" s="6"/>
      <c r="I25" s="67"/>
      <c r="J25" s="67"/>
      <c r="K25" s="67"/>
    </row>
    <row r="26" spans="1:13" x14ac:dyDescent="0.45">
      <c r="A26" s="37" t="s">
        <v>35</v>
      </c>
      <c r="B26" s="64">
        <f>B25*B6/(B6+B8)+B24*(1-B22)*B8/(B8+B6)</f>
        <v>0.10921530629543061</v>
      </c>
      <c r="C26" s="65"/>
      <c r="D26" s="66"/>
      <c r="E26" s="64">
        <f>E25*E6/(E6+E8)+E24*(1-E22)*E8/(E8+E6)</f>
        <v>7.0000000000000007E-2</v>
      </c>
      <c r="F26" s="57"/>
      <c r="G26" s="58"/>
      <c r="H26" s="6"/>
      <c r="I26" s="6"/>
      <c r="J26" s="6"/>
      <c r="K26" s="6"/>
      <c r="L26" s="8" t="s">
        <v>100</v>
      </c>
      <c r="M26" s="8" t="s">
        <v>100</v>
      </c>
    </row>
    <row r="27" spans="1:13" ht="20" customHeight="1" x14ac:dyDescent="0.45">
      <c r="A27" s="67"/>
      <c r="B27" s="67" t="str">
        <f>B1</f>
        <v xml:space="preserve">Televerbier </v>
      </c>
      <c r="C27" s="67"/>
      <c r="D27" s="67"/>
      <c r="E27" s="67" t="str">
        <f>E1</f>
        <v xml:space="preserve">Jungfraubahn </v>
      </c>
      <c r="F27" s="67"/>
      <c r="G27" s="67"/>
      <c r="H27" s="6"/>
      <c r="I27" s="6"/>
      <c r="J27" s="6" t="s">
        <v>87</v>
      </c>
      <c r="K27" s="6" t="s">
        <v>86</v>
      </c>
      <c r="L27" s="6" t="s">
        <v>87</v>
      </c>
      <c r="M27" s="6" t="s">
        <v>86</v>
      </c>
    </row>
    <row r="28" spans="1:13" ht="20" customHeight="1" x14ac:dyDescent="0.45">
      <c r="A28" s="67" t="s">
        <v>28</v>
      </c>
      <c r="B28" s="70">
        <f>B5</f>
        <v>179984.5</v>
      </c>
      <c r="C28" s="70"/>
      <c r="D28" s="70"/>
      <c r="E28" s="70"/>
      <c r="F28" s="67"/>
      <c r="G28" s="67"/>
      <c r="H28" s="6"/>
      <c r="I28" s="6" t="s">
        <v>88</v>
      </c>
      <c r="J28" s="67" t="s">
        <v>89</v>
      </c>
      <c r="K28" s="67" t="s">
        <v>83</v>
      </c>
      <c r="L28" s="15">
        <f>E29</f>
        <v>0</v>
      </c>
      <c r="M28" s="15">
        <f>K22</f>
        <v>1006851</v>
      </c>
    </row>
    <row r="29" spans="1:13" ht="20" customHeight="1" x14ac:dyDescent="0.45">
      <c r="A29" s="67" t="s">
        <v>26</v>
      </c>
      <c r="B29" s="70">
        <f>B8+B6</f>
        <v>136265.5</v>
      </c>
      <c r="C29" s="70"/>
      <c r="D29" s="70"/>
      <c r="E29" s="70"/>
      <c r="F29" s="67"/>
      <c r="G29" s="67"/>
      <c r="H29" s="6"/>
      <c r="I29" s="6" t="s">
        <v>35</v>
      </c>
      <c r="J29" s="67" t="s">
        <v>35</v>
      </c>
      <c r="K29" s="67" t="s">
        <v>35</v>
      </c>
      <c r="L29" s="80">
        <f>K21</f>
        <v>7.0000000000000007E-2</v>
      </c>
      <c r="M29" s="80">
        <f>K21</f>
        <v>7.0000000000000007E-2</v>
      </c>
    </row>
    <row r="30" spans="1:13" ht="20" customHeight="1" x14ac:dyDescent="0.45">
      <c r="A30" s="68"/>
      <c r="B30" s="70"/>
      <c r="C30" s="67"/>
      <c r="D30" s="67"/>
      <c r="E30" s="67"/>
      <c r="F30" s="67"/>
      <c r="G30" s="67"/>
      <c r="H30" s="6"/>
      <c r="I30" s="6" t="s">
        <v>91</v>
      </c>
      <c r="J30" s="67" t="s">
        <v>32</v>
      </c>
      <c r="K30" s="67" t="s">
        <v>92</v>
      </c>
      <c r="L30" s="15">
        <f>E35</f>
        <v>0</v>
      </c>
      <c r="M30" s="15">
        <f>K4</f>
        <v>34142</v>
      </c>
    </row>
    <row r="31" spans="1:13" ht="20" customHeight="1" x14ac:dyDescent="0.45">
      <c r="A31" s="67"/>
      <c r="B31" s="67"/>
      <c r="C31" s="67"/>
      <c r="D31" s="67"/>
      <c r="E31" s="67"/>
      <c r="F31" s="67"/>
      <c r="G31" s="67"/>
      <c r="H31" s="6"/>
      <c r="I31" s="6" t="s">
        <v>90</v>
      </c>
      <c r="J31" s="67" t="s">
        <v>33</v>
      </c>
      <c r="K31" s="67" t="s">
        <v>82</v>
      </c>
      <c r="L31" s="80">
        <f>E42</f>
        <v>0</v>
      </c>
      <c r="M31" s="80">
        <f>K17</f>
        <v>8.3568214414189643E-3</v>
      </c>
    </row>
    <row r="32" spans="1:13" ht="20" customHeight="1" x14ac:dyDescent="0.45">
      <c r="A32" s="67" t="s">
        <v>29</v>
      </c>
      <c r="B32" s="70"/>
      <c r="C32" s="70"/>
      <c r="D32" s="70"/>
      <c r="E32" s="70"/>
      <c r="F32" s="67"/>
      <c r="G32" s="67"/>
      <c r="H32" s="6"/>
      <c r="I32" s="6" t="s">
        <v>93</v>
      </c>
      <c r="J32" s="67" t="s">
        <v>97</v>
      </c>
      <c r="K32" s="67" t="s">
        <v>85</v>
      </c>
      <c r="L32" s="80">
        <f>E44</f>
        <v>0</v>
      </c>
      <c r="M32" s="80">
        <f>K23</f>
        <v>-6.1643178558581042E-2</v>
      </c>
    </row>
    <row r="33" spans="1:13" ht="20" customHeight="1" x14ac:dyDescent="0.45">
      <c r="A33" s="69" t="s">
        <v>30</v>
      </c>
      <c r="B33" s="78">
        <f>B14/B29</f>
        <v>0.40581805372599816</v>
      </c>
      <c r="C33" s="78"/>
      <c r="D33" s="78"/>
      <c r="E33" s="78"/>
      <c r="F33" s="67"/>
      <c r="G33" s="67"/>
      <c r="H33" s="6"/>
      <c r="I33" s="6" t="s">
        <v>94</v>
      </c>
      <c r="J33" s="67" t="s">
        <v>95</v>
      </c>
      <c r="K33" s="67" t="s">
        <v>96</v>
      </c>
      <c r="L33" s="15">
        <f>E45</f>
        <v>0</v>
      </c>
      <c r="M33" s="15">
        <f>K24</f>
        <v>-62065.495974885882</v>
      </c>
    </row>
    <row r="34" spans="1:13" ht="23.5" customHeight="1" x14ac:dyDescent="0.45">
      <c r="A34" s="69" t="s">
        <v>99</v>
      </c>
      <c r="B34" s="78">
        <f>B14/(B12+B10)</f>
        <v>0.13004721057799151</v>
      </c>
      <c r="C34" s="78"/>
      <c r="D34" s="78"/>
      <c r="E34" s="78"/>
      <c r="F34" s="67"/>
      <c r="G34" s="67"/>
      <c r="H34" s="6"/>
      <c r="I34" s="6"/>
      <c r="J34" s="6"/>
      <c r="K34" s="6"/>
    </row>
    <row r="35" spans="1:13" ht="21.75" customHeight="1" x14ac:dyDescent="0.45">
      <c r="A35" s="69" t="s">
        <v>32</v>
      </c>
      <c r="B35" s="72">
        <f>B21*(1-B22)</f>
        <v>1766.4</v>
      </c>
      <c r="C35" s="72"/>
      <c r="D35" s="72"/>
      <c r="E35" s="72"/>
      <c r="F35" s="67"/>
      <c r="G35" s="67"/>
      <c r="H35" s="6"/>
      <c r="I35" s="6"/>
      <c r="J35" s="6"/>
      <c r="K35" s="6"/>
    </row>
    <row r="36" spans="1:13" ht="4.5" customHeight="1" x14ac:dyDescent="0.45">
      <c r="A36" s="67"/>
      <c r="B36" s="67"/>
      <c r="C36" s="67"/>
      <c r="D36" s="67"/>
      <c r="E36" s="67"/>
      <c r="F36" s="67"/>
      <c r="G36" s="67"/>
      <c r="H36" s="6"/>
      <c r="I36" s="6"/>
      <c r="J36" s="6"/>
      <c r="K36" s="6"/>
    </row>
    <row r="37" spans="1:13" ht="13.5" customHeight="1" x14ac:dyDescent="0.45">
      <c r="A37" s="67" t="s">
        <v>31</v>
      </c>
      <c r="B37" s="67"/>
      <c r="C37" s="67"/>
      <c r="D37" s="67"/>
      <c r="E37" s="67"/>
      <c r="F37" s="67"/>
      <c r="G37" s="67"/>
      <c r="H37" s="6"/>
      <c r="I37" s="6"/>
      <c r="J37" s="6"/>
      <c r="K37" s="6"/>
    </row>
    <row r="38" spans="1:13" ht="21.75" customHeight="1" x14ac:dyDescent="0.45">
      <c r="A38" s="67" t="s">
        <v>7</v>
      </c>
      <c r="B38" s="78">
        <f>B19/B14</f>
        <v>0.27282591005262302</v>
      </c>
      <c r="C38" s="71"/>
      <c r="D38" s="71"/>
      <c r="E38" s="78"/>
      <c r="F38" s="67"/>
      <c r="G38" s="67"/>
      <c r="H38" s="6"/>
      <c r="I38" s="6"/>
      <c r="J38" s="6"/>
      <c r="K38" s="6"/>
    </row>
    <row r="39" spans="1:13" ht="21.75" customHeight="1" x14ac:dyDescent="0.45">
      <c r="A39" s="67" t="s">
        <v>24</v>
      </c>
      <c r="B39" s="78">
        <f>B21/B14</f>
        <v>3.9928389301795694E-2</v>
      </c>
      <c r="C39" s="71"/>
      <c r="D39" s="71"/>
      <c r="E39" s="78"/>
      <c r="F39" s="67"/>
      <c r="G39" s="67"/>
      <c r="H39" s="6"/>
      <c r="I39" s="6"/>
      <c r="J39" s="6"/>
      <c r="K39" s="6"/>
    </row>
    <row r="40" spans="1:13" ht="21.75" customHeight="1" x14ac:dyDescent="0.45">
      <c r="A40" s="67" t="s">
        <v>32</v>
      </c>
      <c r="B40" s="78">
        <f>B35/B14</f>
        <v>3.1942711441436553E-2</v>
      </c>
      <c r="C40" s="71"/>
      <c r="D40" s="71"/>
      <c r="E40" s="78"/>
      <c r="F40" s="67"/>
      <c r="G40" s="67"/>
      <c r="H40" s="6"/>
      <c r="I40" s="6"/>
      <c r="J40" s="6"/>
      <c r="K40" s="6"/>
    </row>
    <row r="41" spans="1:13" ht="4.5" customHeight="1" x14ac:dyDescent="0.45">
      <c r="A41" s="67"/>
      <c r="B41" s="79"/>
      <c r="C41" s="67"/>
      <c r="D41" s="67"/>
      <c r="E41" s="79"/>
      <c r="F41" s="67"/>
      <c r="G41" s="67"/>
      <c r="H41" s="6"/>
      <c r="I41" s="6"/>
      <c r="J41" s="6"/>
      <c r="K41" s="6"/>
    </row>
    <row r="42" spans="1:13" ht="17.5" customHeight="1" x14ac:dyDescent="0.45">
      <c r="A42" s="67" t="s">
        <v>34</v>
      </c>
      <c r="B42" s="78">
        <f>B35/B29</f>
        <v>1.2962928987894955E-2</v>
      </c>
      <c r="C42" s="71"/>
      <c r="D42" s="71"/>
      <c r="E42" s="78"/>
      <c r="F42" s="67"/>
      <c r="G42" s="67"/>
      <c r="H42" s="6"/>
      <c r="I42" s="6"/>
      <c r="J42" s="6"/>
      <c r="K42" s="6"/>
    </row>
    <row r="43" spans="1:13" ht="6" customHeight="1" x14ac:dyDescent="0.45">
      <c r="A43" s="67"/>
      <c r="B43" s="79"/>
      <c r="C43" s="67"/>
      <c r="D43" s="67"/>
      <c r="E43" s="79"/>
      <c r="F43" s="67"/>
      <c r="G43" s="67"/>
      <c r="H43" s="6"/>
      <c r="I43" s="6"/>
      <c r="J43" s="6"/>
      <c r="K43" s="6"/>
    </row>
    <row r="44" spans="1:13" ht="21.75" customHeight="1" x14ac:dyDescent="0.45">
      <c r="A44" s="67" t="s">
        <v>37</v>
      </c>
      <c r="B44" s="79">
        <f>B42-B26</f>
        <v>-9.625237730753565E-2</v>
      </c>
      <c r="C44" s="73"/>
      <c r="D44" s="73"/>
      <c r="E44" s="79"/>
      <c r="F44" s="67"/>
      <c r="G44" s="67"/>
      <c r="H44" s="6"/>
      <c r="I44" s="6"/>
      <c r="J44" s="6"/>
      <c r="K44" s="6"/>
    </row>
    <row r="45" spans="1:13" ht="21.75" customHeight="1" x14ac:dyDescent="0.45">
      <c r="A45" s="67" t="s">
        <v>38</v>
      </c>
      <c r="B45" s="70">
        <f>B44*B29</f>
        <v>-13115.87832</v>
      </c>
      <c r="C45" s="70">
        <f>C44*C29</f>
        <v>0</v>
      </c>
      <c r="D45" s="70">
        <f>D44*D29</f>
        <v>0</v>
      </c>
      <c r="E45" s="70"/>
      <c r="F45" s="67"/>
      <c r="G45" s="67"/>
      <c r="H45" s="6"/>
      <c r="I45" s="6"/>
      <c r="J45" s="6"/>
      <c r="K45" s="6"/>
    </row>
    <row r="46" spans="1:13" x14ac:dyDescent="0.4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 x14ac:dyDescent="0.4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3" x14ac:dyDescent="0.4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4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45">
      <c r="H50" s="6"/>
      <c r="I50" s="6"/>
      <c r="J50" s="6"/>
      <c r="K50" s="6"/>
    </row>
    <row r="51" spans="1:11" x14ac:dyDescent="0.45">
      <c r="H51" s="6"/>
      <c r="I51" s="6"/>
      <c r="J51" s="6"/>
      <c r="K51" s="6"/>
    </row>
    <row r="52" spans="1:11" x14ac:dyDescent="0.45">
      <c r="H52" s="6"/>
      <c r="I52" s="6"/>
      <c r="J52" s="6"/>
      <c r="K52" s="6"/>
    </row>
  </sheetData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2"/>
  <sheetViews>
    <sheetView topLeftCell="A39" workbookViewId="0">
      <selection activeCell="A39" sqref="A39:C52"/>
    </sheetView>
  </sheetViews>
  <sheetFormatPr baseColWidth="10" defaultRowHeight="14.5" x14ac:dyDescent="0.35"/>
  <cols>
    <col min="1" max="1" width="35.54296875" customWidth="1"/>
    <col min="2" max="2" width="16.453125" customWidth="1"/>
    <col min="3" max="3" width="20.1796875" customWidth="1"/>
  </cols>
  <sheetData>
    <row r="4" spans="1:4" ht="18.5" x14ac:dyDescent="0.45">
      <c r="B4" s="4"/>
    </row>
    <row r="5" spans="1:4" ht="18.5" x14ac:dyDescent="0.45">
      <c r="A5" s="13" t="s">
        <v>49</v>
      </c>
      <c r="B5" s="5" t="s">
        <v>47</v>
      </c>
      <c r="C5" s="5" t="s">
        <v>48</v>
      </c>
    </row>
    <row r="6" spans="1:4" ht="18.5" x14ac:dyDescent="0.45">
      <c r="A6" s="6" t="s">
        <v>39</v>
      </c>
      <c r="B6" s="7">
        <v>523026</v>
      </c>
      <c r="C6" s="7">
        <v>1012804</v>
      </c>
    </row>
    <row r="7" spans="1:4" ht="18.5" x14ac:dyDescent="0.45">
      <c r="A7" s="6" t="s">
        <v>3</v>
      </c>
      <c r="B7" s="7">
        <v>-137669</v>
      </c>
      <c r="C7" s="7">
        <v>0</v>
      </c>
    </row>
    <row r="8" spans="1:4" ht="18.5" x14ac:dyDescent="0.45">
      <c r="A8" s="6" t="s">
        <v>40</v>
      </c>
      <c r="B8" s="7">
        <f>B6+B7</f>
        <v>385357</v>
      </c>
      <c r="C8" s="7">
        <v>0</v>
      </c>
    </row>
    <row r="9" spans="1:4" ht="18.5" x14ac:dyDescent="0.45">
      <c r="A9" s="6" t="s">
        <v>4</v>
      </c>
      <c r="B9" s="7">
        <v>-257727</v>
      </c>
      <c r="C9" s="7">
        <v>-196633</v>
      </c>
    </row>
    <row r="10" spans="1:4" ht="18.5" x14ac:dyDescent="0.45">
      <c r="A10" s="6" t="s">
        <v>5</v>
      </c>
      <c r="B10" s="7">
        <f>(B8-B11-B9*-1)*-1</f>
        <v>-81334</v>
      </c>
      <c r="C10" s="7">
        <f>(C6+C9-C11)*-1</f>
        <v>-237367</v>
      </c>
    </row>
    <row r="11" spans="1:4" ht="18.5" x14ac:dyDescent="0.45">
      <c r="A11" s="8" t="s">
        <v>7</v>
      </c>
      <c r="B11" s="10">
        <v>46296</v>
      </c>
      <c r="C11" s="10">
        <v>578804</v>
      </c>
      <c r="D11" s="1"/>
    </row>
    <row r="12" spans="1:4" s="2" customFormat="1" ht="18.5" x14ac:dyDescent="0.45">
      <c r="A12" s="11" t="s">
        <v>45</v>
      </c>
      <c r="B12" s="12">
        <f>B11/B6</f>
        <v>8.8515676084936504E-2</v>
      </c>
      <c r="C12" s="12">
        <f>C11/C6</f>
        <v>0.57148668449176743</v>
      </c>
    </row>
    <row r="13" spans="1:4" ht="18.5" x14ac:dyDescent="0.45">
      <c r="A13" s="6" t="s">
        <v>6</v>
      </c>
      <c r="B13" s="7">
        <v>-2096</v>
      </c>
      <c r="C13" s="7">
        <v>-241454</v>
      </c>
    </row>
    <row r="14" spans="1:4" ht="18.5" x14ac:dyDescent="0.45">
      <c r="A14" s="8" t="s">
        <v>24</v>
      </c>
      <c r="B14" s="10">
        <f>B11+B13</f>
        <v>44200</v>
      </c>
      <c r="C14" s="10">
        <f>C11+C13</f>
        <v>337350</v>
      </c>
    </row>
    <row r="15" spans="1:4" s="2" customFormat="1" ht="18.5" x14ac:dyDescent="0.45">
      <c r="A15" s="11" t="s">
        <v>46</v>
      </c>
      <c r="B15" s="12">
        <f>B14/B6</f>
        <v>8.450822712446418E-2</v>
      </c>
      <c r="C15" s="12">
        <f>C14/C6</f>
        <v>0.3330851773887149</v>
      </c>
    </row>
    <row r="16" spans="1:4" ht="18.5" x14ac:dyDescent="0.45">
      <c r="A16" s="6" t="s">
        <v>41</v>
      </c>
      <c r="B16" s="6">
        <v>-77</v>
      </c>
      <c r="C16" s="7">
        <v>-22755</v>
      </c>
    </row>
    <row r="17" spans="1:3" ht="18.5" x14ac:dyDescent="0.45">
      <c r="A17" s="6" t="s">
        <v>42</v>
      </c>
      <c r="B17" s="7">
        <f>B14+B16</f>
        <v>44123</v>
      </c>
      <c r="C17" s="7">
        <f>C14+C16</f>
        <v>314595</v>
      </c>
    </row>
    <row r="18" spans="1:3" ht="18.5" x14ac:dyDescent="0.45">
      <c r="A18" s="6" t="s">
        <v>43</v>
      </c>
      <c r="B18" s="7">
        <v>-7635</v>
      </c>
      <c r="C18" s="7">
        <v>66577</v>
      </c>
    </row>
    <row r="19" spans="1:3" ht="18.5" x14ac:dyDescent="0.45">
      <c r="A19" s="8" t="s">
        <v>44</v>
      </c>
      <c r="B19" s="10">
        <f>B17+B18</f>
        <v>36488</v>
      </c>
      <c r="C19" s="10">
        <f>C17+C18</f>
        <v>381172</v>
      </c>
    </row>
    <row r="20" spans="1:3" ht="18.5" x14ac:dyDescent="0.45">
      <c r="A20" s="11" t="s">
        <v>46</v>
      </c>
      <c r="B20" s="12">
        <f>B19/B6</f>
        <v>6.9763262247001107E-2</v>
      </c>
      <c r="C20" s="12">
        <f>C19/C6</f>
        <v>0.37635317396060836</v>
      </c>
    </row>
    <row r="21" spans="1:3" x14ac:dyDescent="0.35">
      <c r="A21" s="3"/>
      <c r="B21" s="3"/>
      <c r="C21" s="3"/>
    </row>
    <row r="22" spans="1:3" ht="18.5" x14ac:dyDescent="0.45">
      <c r="A22" s="13" t="s">
        <v>49</v>
      </c>
      <c r="B22" s="5" t="s">
        <v>47</v>
      </c>
      <c r="C22" s="5" t="s">
        <v>48</v>
      </c>
    </row>
    <row r="23" spans="1:3" ht="18.5" x14ac:dyDescent="0.45">
      <c r="A23" s="6" t="s">
        <v>28</v>
      </c>
      <c r="B23" s="7">
        <v>226756</v>
      </c>
      <c r="C23" s="7">
        <v>4065364</v>
      </c>
    </row>
    <row r="24" spans="1:3" s="2" customFormat="1" ht="18.5" x14ac:dyDescent="0.45">
      <c r="A24" s="14" t="s">
        <v>54</v>
      </c>
      <c r="B24" s="7"/>
      <c r="C24" s="7">
        <v>-294236</v>
      </c>
    </row>
    <row r="25" spans="1:3" ht="18.5" x14ac:dyDescent="0.45">
      <c r="A25" s="6" t="s">
        <v>50</v>
      </c>
      <c r="B25" s="7">
        <v>226756</v>
      </c>
      <c r="C25" s="7">
        <f>C23+C24</f>
        <v>3771128</v>
      </c>
    </row>
    <row r="26" spans="1:3" s="2" customFormat="1" ht="18.5" x14ac:dyDescent="0.45">
      <c r="A26" s="14" t="s">
        <v>53</v>
      </c>
      <c r="B26" s="7">
        <v>-126162</v>
      </c>
      <c r="C26" s="7">
        <v>-849687</v>
      </c>
    </row>
    <row r="27" spans="1:3" ht="18.5" x14ac:dyDescent="0.45">
      <c r="A27" s="6" t="s">
        <v>26</v>
      </c>
      <c r="B27" s="7">
        <f>B25+B26</f>
        <v>100594</v>
      </c>
      <c r="C27" s="7">
        <f>C25+C26</f>
        <v>2921441</v>
      </c>
    </row>
    <row r="28" spans="1:3" s="2" customFormat="1" ht="18.5" x14ac:dyDescent="0.45">
      <c r="A28" s="14" t="s">
        <v>52</v>
      </c>
      <c r="B28" s="7">
        <v>-57244</v>
      </c>
      <c r="C28" s="7">
        <v>-497778</v>
      </c>
    </row>
    <row r="29" spans="1:3" ht="18.5" x14ac:dyDescent="0.45">
      <c r="A29" s="6" t="s">
        <v>51</v>
      </c>
      <c r="B29" s="7">
        <f>B27+B28</f>
        <v>43350</v>
      </c>
      <c r="C29" s="7">
        <f>C27+C28</f>
        <v>2423663</v>
      </c>
    </row>
    <row r="30" spans="1:3" x14ac:dyDescent="0.35">
      <c r="A30" s="3"/>
      <c r="B30" s="3"/>
      <c r="C30" s="3"/>
    </row>
    <row r="31" spans="1:3" ht="18.5" x14ac:dyDescent="0.45">
      <c r="A31" s="6" t="s">
        <v>29</v>
      </c>
      <c r="B31" s="6"/>
      <c r="C31" s="6"/>
    </row>
    <row r="32" spans="1:3" ht="18.5" x14ac:dyDescent="0.45">
      <c r="A32" s="6" t="s">
        <v>55</v>
      </c>
      <c r="B32" s="9">
        <f>B6/B23</f>
        <v>2.3065585916138933</v>
      </c>
      <c r="C32" s="9">
        <f>C6/C23</f>
        <v>0.24912996720588856</v>
      </c>
    </row>
    <row r="33" spans="1:3" ht="18.5" x14ac:dyDescent="0.45">
      <c r="A33" s="6" t="s">
        <v>56</v>
      </c>
      <c r="B33" s="9">
        <f>B6/B25</f>
        <v>2.3065585916138933</v>
      </c>
      <c r="C33" s="9">
        <f>C6/C25</f>
        <v>0.26856791920083328</v>
      </c>
    </row>
    <row r="34" spans="1:3" ht="18.5" x14ac:dyDescent="0.45">
      <c r="A34" s="6" t="s">
        <v>57</v>
      </c>
      <c r="B34" s="9">
        <f>B6/B27</f>
        <v>5.1993757082927408</v>
      </c>
      <c r="C34" s="9">
        <f>C6/C27</f>
        <v>0.34667960092296918</v>
      </c>
    </row>
    <row r="35" spans="1:3" ht="18.5" x14ac:dyDescent="0.45">
      <c r="A35" s="6" t="s">
        <v>58</v>
      </c>
      <c r="B35" s="9">
        <f>B6/B29</f>
        <v>12.065190311418686</v>
      </c>
      <c r="C35" s="9">
        <f>C6/C29</f>
        <v>0.41788152890892832</v>
      </c>
    </row>
    <row r="39" spans="1:3" ht="18.5" x14ac:dyDescent="0.45">
      <c r="A39" s="13" t="s">
        <v>49</v>
      </c>
      <c r="B39" s="5" t="s">
        <v>47</v>
      </c>
      <c r="C39" s="5" t="s">
        <v>48</v>
      </c>
    </row>
    <row r="40" spans="1:3" ht="18.5" x14ac:dyDescent="0.45">
      <c r="A40" s="6" t="s">
        <v>59</v>
      </c>
      <c r="B40" s="15">
        <f>B14</f>
        <v>44200</v>
      </c>
      <c r="C40" s="15">
        <f>C14</f>
        <v>337350</v>
      </c>
    </row>
    <row r="41" spans="1:3" ht="18.5" x14ac:dyDescent="0.45">
      <c r="A41" s="6" t="s">
        <v>25</v>
      </c>
      <c r="B41" s="16">
        <v>0.17299999999999999</v>
      </c>
      <c r="C41" s="9">
        <f>20.5%</f>
        <v>0.20499999999999999</v>
      </c>
    </row>
    <row r="42" spans="1:3" ht="18.5" x14ac:dyDescent="0.45">
      <c r="A42" s="6" t="s">
        <v>32</v>
      </c>
      <c r="B42" s="7">
        <f>B40*(1-B41)</f>
        <v>36553.4</v>
      </c>
      <c r="C42" s="7">
        <f>C40*(1-C41)</f>
        <v>268193.25</v>
      </c>
    </row>
    <row r="43" spans="1:3" s="2" customFormat="1" ht="18.5" x14ac:dyDescent="0.45">
      <c r="A43" s="6"/>
      <c r="B43" s="7"/>
      <c r="C43" s="7"/>
    </row>
    <row r="44" spans="1:3" ht="18.5" x14ac:dyDescent="0.45">
      <c r="A44" s="8" t="s">
        <v>63</v>
      </c>
      <c r="B44" s="6"/>
      <c r="C44" s="6"/>
    </row>
    <row r="45" spans="1:3" ht="18.5" x14ac:dyDescent="0.45">
      <c r="A45" s="6" t="s">
        <v>60</v>
      </c>
      <c r="B45" s="9">
        <f>B40/B23</f>
        <v>0.1949231773359911</v>
      </c>
      <c r="C45" s="9">
        <f>C40/C23</f>
        <v>8.2981499319618124E-2</v>
      </c>
    </row>
    <row r="46" spans="1:3" ht="18.5" x14ac:dyDescent="0.45">
      <c r="A46" s="6" t="s">
        <v>61</v>
      </c>
      <c r="B46" s="9">
        <f>B40/B27</f>
        <v>0.43939002326182475</v>
      </c>
      <c r="C46" s="9">
        <f>C40/C27</f>
        <v>0.11547383637047608</v>
      </c>
    </row>
    <row r="47" spans="1:3" ht="18.5" x14ac:dyDescent="0.45">
      <c r="A47" s="6" t="s">
        <v>62</v>
      </c>
      <c r="B47" s="9">
        <f>B40/B29</f>
        <v>1.0196078431372548</v>
      </c>
      <c r="C47" s="9">
        <f>C40/C29</f>
        <v>0.13919014318409778</v>
      </c>
    </row>
    <row r="48" spans="1:3" ht="18.5" x14ac:dyDescent="0.45">
      <c r="A48" s="6"/>
      <c r="B48" s="9"/>
      <c r="C48" s="9"/>
    </row>
    <row r="49" spans="1:3" ht="18.5" x14ac:dyDescent="0.45">
      <c r="A49" s="8" t="s">
        <v>64</v>
      </c>
      <c r="B49" s="9"/>
      <c r="C49" s="9"/>
    </row>
    <row r="50" spans="1:3" ht="18.5" x14ac:dyDescent="0.45">
      <c r="A50" s="6" t="s">
        <v>60</v>
      </c>
      <c r="B50" s="9">
        <f>B42/B23</f>
        <v>0.16120146765686466</v>
      </c>
      <c r="C50" s="9">
        <f>C42/C23</f>
        <v>6.59702919590964E-2</v>
      </c>
    </row>
    <row r="51" spans="1:3" ht="18.5" x14ac:dyDescent="0.45">
      <c r="A51" s="6" t="s">
        <v>61</v>
      </c>
      <c r="B51" s="9">
        <f>B42/B27</f>
        <v>0.36337554923752907</v>
      </c>
      <c r="C51" s="9">
        <f>C42/C27</f>
        <v>9.1801699914528481E-2</v>
      </c>
    </row>
    <row r="52" spans="1:3" ht="18.5" x14ac:dyDescent="0.45">
      <c r="A52" s="6" t="s">
        <v>62</v>
      </c>
      <c r="B52" s="9">
        <f>B42/B29</f>
        <v>0.84321568627450982</v>
      </c>
      <c r="C52" s="9">
        <f>C42/C29</f>
        <v>0.11065616383135775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</dc:creator>
  <cp:lastModifiedBy>Lütolf Philipp HSLU W</cp:lastModifiedBy>
  <cp:lastPrinted>2020-02-02T06:54:01Z</cp:lastPrinted>
  <dcterms:created xsi:type="dcterms:W3CDTF">2018-01-29T05:07:31Z</dcterms:created>
  <dcterms:modified xsi:type="dcterms:W3CDTF">2020-02-08T09:16:14Z</dcterms:modified>
</cp:coreProperties>
</file>